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Version final 16_05_2019\Sector INFIERNILLO\"/>
    </mc:Choice>
  </mc:AlternateContent>
  <bookViews>
    <workbookView xWindow="1560" yWindow="1560" windowWidth="21600" windowHeight="11385" activeTab="2"/>
  </bookViews>
  <sheets>
    <sheet name="CONDUCTOR" sheetId="1" r:id="rId1"/>
    <sheet name="ESTRUCTURAS" sheetId="2" r:id="rId2"/>
    <sheet name="MATERIALES" sheetId="3" r:id="rId3"/>
  </sheets>
  <definedNames>
    <definedName name="_xlnm.Print_Area" localSheetId="2">MATERIALES!$B$3:$I$38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3" l="1"/>
  <c r="G42" i="2" l="1"/>
  <c r="G43" i="2"/>
  <c r="G41" i="2"/>
  <c r="G40" i="2"/>
  <c r="G38" i="2"/>
  <c r="G37" i="2"/>
  <c r="H36" i="2" s="1"/>
  <c r="G39" i="2"/>
  <c r="G36" i="2"/>
  <c r="G35" i="2"/>
  <c r="G34" i="2"/>
  <c r="H33" i="2" s="1"/>
  <c r="G33" i="2"/>
  <c r="G32" i="2"/>
  <c r="H31" i="2" s="1"/>
  <c r="G31" i="2"/>
  <c r="G30" i="2"/>
  <c r="G29" i="2"/>
  <c r="H30" i="2" s="1"/>
  <c r="I30" i="2" s="1"/>
  <c r="E13" i="3" s="1"/>
  <c r="G13" i="3" s="1"/>
  <c r="G28" i="2"/>
  <c r="G27" i="2"/>
  <c r="G26" i="2"/>
  <c r="G25" i="2"/>
  <c r="G24" i="2"/>
  <c r="I13" i="3" l="1"/>
  <c r="F18" i="1"/>
  <c r="E17" i="1"/>
  <c r="E16" i="1"/>
  <c r="E15" i="1"/>
  <c r="E14" i="1"/>
  <c r="E13" i="1"/>
  <c r="E12" i="1"/>
  <c r="E11" i="1"/>
  <c r="F7" i="1"/>
  <c r="E4" i="1"/>
  <c r="E5" i="1"/>
  <c r="E6" i="1"/>
  <c r="E8" i="1"/>
  <c r="E9" i="1"/>
  <c r="E10" i="1"/>
  <c r="E3" i="1"/>
  <c r="E18" i="1" s="1"/>
  <c r="I24" i="3" l="1"/>
  <c r="G24" i="3"/>
  <c r="I44" i="2" l="1"/>
  <c r="I36" i="2" l="1"/>
  <c r="E17" i="3" s="1"/>
  <c r="E27" i="3"/>
  <c r="E23" i="3"/>
  <c r="I39" i="2" l="1"/>
  <c r="E18" i="3" s="1"/>
  <c r="I32" i="3" l="1"/>
  <c r="G32" i="3"/>
  <c r="I30" i="3"/>
  <c r="G30" i="3"/>
  <c r="I29" i="3"/>
  <c r="G29" i="3"/>
  <c r="I33" i="3"/>
  <c r="G33" i="3"/>
  <c r="I40" i="2"/>
  <c r="I43" i="2"/>
  <c r="E19" i="3" l="1"/>
  <c r="G19" i="3" s="1"/>
  <c r="E22" i="3"/>
  <c r="I18" i="3"/>
  <c r="G18" i="3"/>
  <c r="I19" i="3" l="1"/>
  <c r="G22" i="3"/>
  <c r="I22" i="3"/>
  <c r="G31" i="3"/>
  <c r="I31" i="3"/>
  <c r="I42" i="2"/>
  <c r="I35" i="2"/>
  <c r="E16" i="3" s="1"/>
  <c r="I16" i="3" s="1"/>
  <c r="E21" i="3" l="1"/>
  <c r="L25" i="2"/>
  <c r="E26" i="3" s="1"/>
  <c r="G16" i="3"/>
  <c r="C39" i="3"/>
  <c r="G25" i="1" l="1"/>
  <c r="J18" i="1"/>
  <c r="J20" i="1" s="1"/>
  <c r="I18" i="1"/>
  <c r="I20" i="1" s="1"/>
  <c r="H18" i="1"/>
  <c r="H19" i="1" s="1"/>
  <c r="F19" i="1" l="1"/>
  <c r="F20" i="1" s="1"/>
  <c r="E7" i="3" s="1"/>
  <c r="H20" i="1"/>
  <c r="I33" i="2" l="1"/>
  <c r="E15" i="3" s="1"/>
  <c r="I15" i="3" l="1"/>
  <c r="G15" i="3"/>
  <c r="I31" i="2"/>
  <c r="E14" i="3" s="1"/>
  <c r="E19" i="1" l="1"/>
  <c r="E20" i="1" s="1"/>
  <c r="E6" i="3" s="1"/>
  <c r="I14" i="3"/>
  <c r="G14" i="3"/>
  <c r="G27" i="3"/>
  <c r="G26" i="3"/>
  <c r="I27" i="3"/>
  <c r="I28" i="2" l="1"/>
  <c r="E12" i="3" s="1"/>
  <c r="I23" i="3" l="1"/>
  <c r="G23" i="3"/>
  <c r="I26" i="3" l="1"/>
  <c r="I21" i="3" l="1"/>
  <c r="G21" i="3"/>
  <c r="I41" i="2" l="1"/>
  <c r="E20" i="3" s="1"/>
  <c r="I26" i="2"/>
  <c r="E10" i="3" s="1"/>
  <c r="I25" i="2"/>
  <c r="E9" i="3" s="1"/>
  <c r="I24" i="2"/>
  <c r="E8" i="3" l="1"/>
  <c r="L24" i="2"/>
  <c r="E25" i="3" s="1"/>
  <c r="I9" i="3"/>
  <c r="G9" i="3"/>
  <c r="I17" i="3"/>
  <c r="G20" i="3"/>
  <c r="G17" i="3" l="1"/>
  <c r="G25" i="3"/>
  <c r="I25" i="3"/>
  <c r="I20" i="3"/>
  <c r="G8" i="3"/>
  <c r="I8" i="3"/>
  <c r="G12" i="3"/>
  <c r="I12" i="3"/>
  <c r="I10" i="3"/>
  <c r="G10" i="3"/>
  <c r="G7" i="3" l="1"/>
  <c r="I7" i="3"/>
  <c r="I6" i="3"/>
  <c r="G6" i="3"/>
  <c r="I27" i="2"/>
  <c r="E11" i="3" s="1"/>
  <c r="I11" i="3" l="1"/>
  <c r="G11" i="3"/>
  <c r="I34" i="3" l="1"/>
  <c r="I35" i="3"/>
  <c r="I36" i="3" l="1"/>
  <c r="I37" i="3" l="1"/>
  <c r="I38" i="3" s="1"/>
</calcChain>
</file>

<file path=xl/sharedStrings.xml><?xml version="1.0" encoding="utf-8"?>
<sst xmlns="http://schemas.openxmlformats.org/spreadsheetml/2006/main" count="255" uniqueCount="123">
  <si>
    <t>De</t>
  </si>
  <si>
    <t>Hasta</t>
  </si>
  <si>
    <t>Distancia (mts)</t>
  </si>
  <si>
    <t>POSTE</t>
  </si>
  <si>
    <t>Estructura MT</t>
  </si>
  <si>
    <t>Estructura BT</t>
  </si>
  <si>
    <t>TENSOR</t>
  </si>
  <si>
    <t>Seccionador</t>
  </si>
  <si>
    <t>Trafo</t>
  </si>
  <si>
    <t>Luminaria</t>
  </si>
  <si>
    <t>Acometida</t>
  </si>
  <si>
    <t>P6</t>
  </si>
  <si>
    <t>P7</t>
  </si>
  <si>
    <t>P8</t>
  </si>
  <si>
    <t>Conductor ACSR 2</t>
  </si>
  <si>
    <t>Subtotal</t>
  </si>
  <si>
    <t>Multiplex 3x6</t>
  </si>
  <si>
    <t>TIPO</t>
  </si>
  <si>
    <t>FV</t>
  </si>
  <si>
    <t>ALTURA</t>
  </si>
  <si>
    <t>ITEM</t>
  </si>
  <si>
    <t>KGF</t>
  </si>
  <si>
    <t>1EP</t>
  </si>
  <si>
    <t>1ER</t>
  </si>
  <si>
    <t>TOTAL</t>
  </si>
  <si>
    <t>Conteo de estructuras</t>
  </si>
  <si>
    <t>Descripción</t>
  </si>
  <si>
    <t>Postes 12m FV 500 kgf</t>
  </si>
  <si>
    <t>Postes 10m FV 400 kgf</t>
  </si>
  <si>
    <t>Suma 1</t>
  </si>
  <si>
    <t>Suma 2</t>
  </si>
  <si>
    <t>Conductor TTU # 1/0</t>
  </si>
  <si>
    <t>Conductor TTU # 3/0</t>
  </si>
  <si>
    <t>Item</t>
  </si>
  <si>
    <t>Mano de Obra</t>
  </si>
  <si>
    <t>Suministro y tendido de conductor ACSR, 2AWG</t>
  </si>
  <si>
    <t>Cantidad</t>
  </si>
  <si>
    <t>mts</t>
  </si>
  <si>
    <t>Unidad</t>
  </si>
  <si>
    <t>P. U Materiales</t>
  </si>
  <si>
    <t>Subtotal Mat</t>
  </si>
  <si>
    <t xml:space="preserve">Sub M.O </t>
  </si>
  <si>
    <t>U</t>
  </si>
  <si>
    <t>Suministro y montaje de puesta a tierra mediante electrodo activo químico</t>
  </si>
  <si>
    <t>Excavación de suelo para montaje de poste o tensor - terreno rocoso</t>
  </si>
  <si>
    <t>Excavación de suelo para montaje de puesta a tierra - terreno rocoso</t>
  </si>
  <si>
    <t>Subtotal M.O</t>
  </si>
  <si>
    <t>Sub 1+2</t>
  </si>
  <si>
    <t>IVA 12%</t>
  </si>
  <si>
    <t>TAT-0TS</t>
  </si>
  <si>
    <t>11m</t>
  </si>
  <si>
    <t>Suministro, montaje e instalacion de acometida bifásica en bajo voltaje 240-120V directa</t>
  </si>
  <si>
    <t>Desmontaje y desalojo de red baja tensión (incluye: conductor, herrajes, aisladores y luminaria)</t>
  </si>
  <si>
    <t>12m</t>
  </si>
  <si>
    <t>1ED</t>
  </si>
  <si>
    <t>Pararrayos</t>
  </si>
  <si>
    <t>Desperdicio 1,5%</t>
  </si>
  <si>
    <t>Conductor Concentrico de Cobre 2x4(4)</t>
  </si>
  <si>
    <t># Acometidas</t>
  </si>
  <si>
    <t>Distancia promedio de acometida</t>
  </si>
  <si>
    <t>Suministro y montaje de poste de fibra de vidrio de 12 metros, 500 kgf</t>
  </si>
  <si>
    <t>1 Secc</t>
  </si>
  <si>
    <t>excav Postes</t>
  </si>
  <si>
    <t>excav PT</t>
  </si>
  <si>
    <t>Retiro y desalojo de poste de hormigón</t>
  </si>
  <si>
    <t>Conductor Preensamblado 2x35(35)</t>
  </si>
  <si>
    <t>TAD-0TS</t>
  </si>
  <si>
    <t>Suministro y tendido de cable preensamblado 2x35+1x35 mm2</t>
  </si>
  <si>
    <t>Suministro y montaje de poste de fibra de vidrio de 10 metros, 400 kgf</t>
  </si>
  <si>
    <t>Desbroce de vegetacion</t>
  </si>
  <si>
    <t>km</t>
  </si>
  <si>
    <t>Desmontaje y desalojo de red media tensión monofásica (incluye: conductor, herrajes, aisladores y seccionador)</t>
  </si>
  <si>
    <t>1CDT</t>
  </si>
  <si>
    <t>P2</t>
  </si>
  <si>
    <t>P3</t>
  </si>
  <si>
    <t>P4</t>
  </si>
  <si>
    <t>P5</t>
  </si>
  <si>
    <t>90W</t>
  </si>
  <si>
    <t>10 kVA</t>
  </si>
  <si>
    <t>1 Pararrayos</t>
  </si>
  <si>
    <t>1CPT</t>
  </si>
  <si>
    <t>1CAT</t>
  </si>
  <si>
    <t xml:space="preserve">10 kVA </t>
  </si>
  <si>
    <t>Suministro y montaje de Estructura EST-1CDT 15kV</t>
  </si>
  <si>
    <t>Suministro y montaje de Estructura EST-1CPT 15kV</t>
  </si>
  <si>
    <t>Suministro y montaje de Estructura EST-1CAT 15kV</t>
  </si>
  <si>
    <t>Acometidas</t>
  </si>
  <si>
    <t>Suministro, montaje e instalacion de abrazadera para acometidas simple</t>
  </si>
  <si>
    <t>Suministro, montaje e instalación transformador auto. 1F, 10 kVA</t>
  </si>
  <si>
    <t>Pe # 25753</t>
  </si>
  <si>
    <t>P0</t>
  </si>
  <si>
    <t>P1</t>
  </si>
  <si>
    <t>P47</t>
  </si>
  <si>
    <t>P9</t>
  </si>
  <si>
    <t>P10</t>
  </si>
  <si>
    <t>P11</t>
  </si>
  <si>
    <t>P12</t>
  </si>
  <si>
    <t>P13</t>
  </si>
  <si>
    <t>3(TAT-0TS)</t>
  </si>
  <si>
    <t>Pe 25753</t>
  </si>
  <si>
    <t>1EP+1ER</t>
  </si>
  <si>
    <t>10m</t>
  </si>
  <si>
    <t>2(1CRT)</t>
  </si>
  <si>
    <t>2(1ER)</t>
  </si>
  <si>
    <t>2(TAT-0TS)</t>
  </si>
  <si>
    <t>1CRT</t>
  </si>
  <si>
    <t>3(TAT-0TS</t>
  </si>
  <si>
    <t>Seccionador 1F (incluye Pararrayos)</t>
  </si>
  <si>
    <t>10 kVAe</t>
  </si>
  <si>
    <t>Suministro y montaje de Estructura EST-1CRT 15kV</t>
  </si>
  <si>
    <t>Retiro y desalojo de poste de madera o fibra</t>
  </si>
  <si>
    <t>Desmontaje y montaje transformador monofásico  autoprotegido 1F, de 10 kVA</t>
  </si>
  <si>
    <t>Suministro, montaje e instalación de luminaria autocontrolada tipo LED de 110W</t>
  </si>
  <si>
    <t>PROYECTO SECTOR EL INFIERNILLO</t>
  </si>
  <si>
    <t>PRESUPUESTO PROYECTO SECTOR EL INFIERNILLO</t>
  </si>
  <si>
    <t>Suministro, montaje e instalacion de medidor bifasico Radio Frecuencia bajo voltaje 220-127V // 240-120V</t>
  </si>
  <si>
    <t>Suministro, montaje e instalación de seccionamiento con fusible para una fase (incluye cruceta y sin pararrayos)</t>
  </si>
  <si>
    <t>Aenox # 2</t>
  </si>
  <si>
    <t>Suministro y montaje de Estructura EST-1EP 240kV</t>
  </si>
  <si>
    <t>Suministro y montaje de Estructura EST-1ED 240kV</t>
  </si>
  <si>
    <t>Suministro y montaje  tensor a tierra simple 13.8 kV</t>
  </si>
  <si>
    <t>Suministro y montaje  tensor a tierra simple 240 kV</t>
  </si>
  <si>
    <t>Suministro y montaje de Estructura EST-1ER 240kV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</si>
</sst>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2" fontId="0" fillId="0" borderId="0" xfId="0" applyNumberFormat="1"/>
    <xf numFmtId="0" fontId="1" fillId="0" borderId="0" xfId="0" applyFont="1" applyAlignmen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164" fontId="1" fillId="0" borderId="1" xfId="1" applyFon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164" fontId="1" fillId="0" borderId="2" xfId="1" applyFont="1" applyBorder="1"/>
    <xf numFmtId="0" fontId="0" fillId="0" borderId="0" xfId="0" applyFont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1" fontId="4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5" sqref="E25"/>
    </sheetView>
  </sheetViews>
  <sheetFormatPr baseColWidth="10" defaultRowHeight="15" x14ac:dyDescent="0.25"/>
  <cols>
    <col min="4" max="4" width="15.28515625" customWidth="1"/>
    <col min="5" max="5" width="19.140625" customWidth="1"/>
    <col min="6" max="6" width="32.85546875" bestFit="1" customWidth="1"/>
    <col min="7" max="7" width="32.7109375" customWidth="1"/>
    <col min="8" max="8" width="13.140625" hidden="1" customWidth="1"/>
    <col min="9" max="9" width="18.42578125" hidden="1" customWidth="1"/>
    <col min="10" max="10" width="18.85546875" hidden="1" customWidth="1"/>
    <col min="11" max="11" width="0" hidden="1" customWidth="1"/>
  </cols>
  <sheetData>
    <row r="1" spans="2:10" x14ac:dyDescent="0.25">
      <c r="B1" s="28" t="s">
        <v>113</v>
      </c>
      <c r="C1" s="28"/>
      <c r="D1" s="28"/>
      <c r="E1" s="28"/>
    </row>
    <row r="2" spans="2:10" x14ac:dyDescent="0.25">
      <c r="B2" s="1" t="s">
        <v>0</v>
      </c>
      <c r="C2" s="1" t="s">
        <v>1</v>
      </c>
      <c r="D2" s="1" t="s">
        <v>2</v>
      </c>
      <c r="E2" s="1" t="s">
        <v>14</v>
      </c>
      <c r="F2" s="1" t="s">
        <v>65</v>
      </c>
      <c r="G2" s="1"/>
      <c r="H2" s="1" t="s">
        <v>16</v>
      </c>
      <c r="I2" s="1" t="s">
        <v>31</v>
      </c>
      <c r="J2" s="1" t="s">
        <v>32</v>
      </c>
    </row>
    <row r="3" spans="2:10" s="22" customFormat="1" x14ac:dyDescent="0.25">
      <c r="B3" s="22" t="s">
        <v>89</v>
      </c>
      <c r="C3" s="22" t="s">
        <v>90</v>
      </c>
      <c r="D3" s="22">
        <v>151</v>
      </c>
      <c r="E3" s="22">
        <f>+D3*2</f>
        <v>302</v>
      </c>
    </row>
    <row r="4" spans="2:10" s="22" customFormat="1" x14ac:dyDescent="0.25">
      <c r="B4" s="22" t="s">
        <v>90</v>
      </c>
      <c r="C4" s="22" t="s">
        <v>91</v>
      </c>
      <c r="D4" s="22">
        <v>113</v>
      </c>
      <c r="E4" s="22">
        <f t="shared" ref="E4:E17" si="0">+D4*2</f>
        <v>226</v>
      </c>
    </row>
    <row r="5" spans="2:10" s="22" customFormat="1" x14ac:dyDescent="0.25">
      <c r="B5" s="22" t="s">
        <v>91</v>
      </c>
      <c r="C5" s="22" t="s">
        <v>73</v>
      </c>
      <c r="D5" s="22">
        <v>93</v>
      </c>
      <c r="E5" s="22">
        <f t="shared" si="0"/>
        <v>186</v>
      </c>
    </row>
    <row r="6" spans="2:10" s="22" customFormat="1" x14ac:dyDescent="0.25">
      <c r="B6" s="22" t="s">
        <v>73</v>
      </c>
      <c r="C6" s="22" t="s">
        <v>74</v>
      </c>
      <c r="D6" s="22">
        <v>85</v>
      </c>
      <c r="E6" s="22">
        <f t="shared" si="0"/>
        <v>170</v>
      </c>
    </row>
    <row r="7" spans="2:10" s="22" customFormat="1" x14ac:dyDescent="0.25">
      <c r="B7" s="22" t="s">
        <v>74</v>
      </c>
      <c r="C7" s="22" t="s">
        <v>92</v>
      </c>
      <c r="D7" s="22">
        <v>83</v>
      </c>
      <c r="F7" s="22">
        <f>+D7*1</f>
        <v>83</v>
      </c>
    </row>
    <row r="8" spans="2:10" s="22" customFormat="1" x14ac:dyDescent="0.25">
      <c r="B8" s="22" t="s">
        <v>74</v>
      </c>
      <c r="C8" s="22" t="s">
        <v>75</v>
      </c>
      <c r="D8" s="22">
        <v>124</v>
      </c>
      <c r="E8" s="22">
        <f t="shared" si="0"/>
        <v>248</v>
      </c>
    </row>
    <row r="9" spans="2:10" s="22" customFormat="1" x14ac:dyDescent="0.25">
      <c r="B9" s="22" t="s">
        <v>75</v>
      </c>
      <c r="C9" s="22" t="s">
        <v>76</v>
      </c>
      <c r="D9" s="22">
        <v>115</v>
      </c>
      <c r="E9" s="22">
        <f t="shared" si="0"/>
        <v>230</v>
      </c>
    </row>
    <row r="10" spans="2:10" s="22" customFormat="1" x14ac:dyDescent="0.25">
      <c r="B10" s="22" t="s">
        <v>76</v>
      </c>
      <c r="C10" s="22" t="s">
        <v>11</v>
      </c>
      <c r="D10" s="22">
        <v>115</v>
      </c>
      <c r="E10" s="22">
        <f t="shared" si="0"/>
        <v>230</v>
      </c>
    </row>
    <row r="11" spans="2:10" s="22" customFormat="1" x14ac:dyDescent="0.25">
      <c r="B11" s="22" t="s">
        <v>11</v>
      </c>
      <c r="C11" s="22" t="s">
        <v>12</v>
      </c>
      <c r="D11" s="22">
        <v>115</v>
      </c>
      <c r="E11" s="22">
        <f t="shared" si="0"/>
        <v>230</v>
      </c>
    </row>
    <row r="12" spans="2:10" s="22" customFormat="1" x14ac:dyDescent="0.25">
      <c r="B12" s="22" t="s">
        <v>12</v>
      </c>
      <c r="C12" s="22" t="s">
        <v>13</v>
      </c>
      <c r="D12" s="22">
        <v>115</v>
      </c>
      <c r="E12" s="22">
        <f t="shared" si="0"/>
        <v>230</v>
      </c>
    </row>
    <row r="13" spans="2:10" x14ac:dyDescent="0.25">
      <c r="B13" s="22" t="s">
        <v>13</v>
      </c>
      <c r="C13" s="22" t="s">
        <v>93</v>
      </c>
      <c r="D13" s="22">
        <v>115</v>
      </c>
      <c r="E13" s="22">
        <f t="shared" si="0"/>
        <v>230</v>
      </c>
    </row>
    <row r="14" spans="2:10" x14ac:dyDescent="0.25">
      <c r="B14" s="22" t="s">
        <v>93</v>
      </c>
      <c r="C14" s="22" t="s">
        <v>94</v>
      </c>
      <c r="D14" s="22">
        <v>115</v>
      </c>
      <c r="E14" s="22">
        <f t="shared" si="0"/>
        <v>230</v>
      </c>
    </row>
    <row r="15" spans="2:10" x14ac:dyDescent="0.25">
      <c r="B15" s="22" t="s">
        <v>94</v>
      </c>
      <c r="C15" s="22" t="s">
        <v>95</v>
      </c>
      <c r="D15" s="22">
        <v>115</v>
      </c>
      <c r="E15" s="22">
        <f t="shared" si="0"/>
        <v>230</v>
      </c>
    </row>
    <row r="16" spans="2:10" x14ac:dyDescent="0.25">
      <c r="B16" s="22" t="s">
        <v>95</v>
      </c>
      <c r="C16" s="22" t="s">
        <v>96</v>
      </c>
      <c r="D16" s="22">
        <v>115</v>
      </c>
      <c r="E16" s="22">
        <f t="shared" si="0"/>
        <v>230</v>
      </c>
    </row>
    <row r="17" spans="2:10" x14ac:dyDescent="0.25">
      <c r="B17" s="22" t="s">
        <v>96</v>
      </c>
      <c r="C17" s="22" t="s">
        <v>97</v>
      </c>
      <c r="D17" s="22">
        <v>127</v>
      </c>
      <c r="E17" s="22">
        <f t="shared" si="0"/>
        <v>254</v>
      </c>
    </row>
    <row r="18" spans="2:10" x14ac:dyDescent="0.25">
      <c r="D18" s="15" t="s">
        <v>15</v>
      </c>
      <c r="E18" s="16">
        <f>SUM(E3:E17)</f>
        <v>3226</v>
      </c>
      <c r="F18" s="16">
        <f>SUM(F3:F17)</f>
        <v>83</v>
      </c>
      <c r="G18" s="16"/>
      <c r="H18" s="16" t="e">
        <f>SUM(#REF!)</f>
        <v>#REF!</v>
      </c>
      <c r="I18" s="16" t="e">
        <f>SUM(#REF!)</f>
        <v>#REF!</v>
      </c>
      <c r="J18" s="16" t="e">
        <f>SUM(#REF!)</f>
        <v>#REF!</v>
      </c>
    </row>
    <row r="19" spans="2:10" x14ac:dyDescent="0.25">
      <c r="D19" t="s">
        <v>56</v>
      </c>
      <c r="E19" s="16">
        <f>+E18*0.015</f>
        <v>48.39</v>
      </c>
      <c r="F19" s="16">
        <f t="shared" ref="F19:H19" si="1">+F18*0.015</f>
        <v>1.2449999999999999</v>
      </c>
      <c r="G19" s="16"/>
      <c r="H19" s="16" t="e">
        <f t="shared" si="1"/>
        <v>#REF!</v>
      </c>
      <c r="I19" s="16"/>
      <c r="J19" s="16"/>
    </row>
    <row r="20" spans="2:10" x14ac:dyDescent="0.25">
      <c r="D20" t="s">
        <v>24</v>
      </c>
      <c r="E20" s="16">
        <f>+E18+E19</f>
        <v>3274.39</v>
      </c>
      <c r="F20" s="16">
        <f t="shared" ref="F20:J20" si="2">+F18+F19</f>
        <v>84.245000000000005</v>
      </c>
      <c r="G20" s="16"/>
      <c r="H20" s="16" t="e">
        <f t="shared" si="2"/>
        <v>#REF!</v>
      </c>
      <c r="I20" s="16" t="e">
        <f t="shared" si="2"/>
        <v>#REF!</v>
      </c>
      <c r="J20" s="16" t="e">
        <f t="shared" si="2"/>
        <v>#REF!</v>
      </c>
    </row>
    <row r="22" spans="2:10" x14ac:dyDescent="0.25">
      <c r="G22" s="1" t="s">
        <v>57</v>
      </c>
    </row>
    <row r="23" spans="2:10" x14ac:dyDescent="0.25">
      <c r="F23" t="s">
        <v>58</v>
      </c>
      <c r="G23">
        <v>4</v>
      </c>
    </row>
    <row r="24" spans="2:10" x14ac:dyDescent="0.25">
      <c r="F24" t="s">
        <v>59</v>
      </c>
      <c r="G24">
        <v>20</v>
      </c>
    </row>
    <row r="25" spans="2:10" x14ac:dyDescent="0.25">
      <c r="G25">
        <f>+G23*G24</f>
        <v>80</v>
      </c>
    </row>
  </sheetData>
  <mergeCells count="1">
    <mergeCell ref="B1:E1"/>
  </mergeCells>
  <pageMargins left="0.7" right="0.7" top="0.75" bottom="0.75" header="0.3" footer="0.3"/>
  <pageSetup paperSize="20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2"/>
  <sheetViews>
    <sheetView topLeftCell="D1" workbookViewId="0">
      <selection activeCell="H64" sqref="H64"/>
    </sheetView>
  </sheetViews>
  <sheetFormatPr baseColWidth="10" defaultRowHeight="15" x14ac:dyDescent="0.25"/>
  <cols>
    <col min="3" max="3" width="12.28515625" bestFit="1" customWidth="1"/>
    <col min="4" max="4" width="13.7109375" customWidth="1"/>
    <col min="5" max="5" width="11" bestFit="1" customWidth="1"/>
    <col min="6" max="6" width="10.140625" bestFit="1" customWidth="1"/>
    <col min="7" max="7" width="13" bestFit="1" customWidth="1"/>
    <col min="8" max="8" width="12.42578125" bestFit="1" customWidth="1"/>
    <col min="9" max="9" width="16.42578125" bestFit="1" customWidth="1"/>
    <col min="10" max="10" width="11.7109375" bestFit="1" customWidth="1"/>
    <col min="11" max="11" width="11.7109375" customWidth="1"/>
    <col min="12" max="12" width="8" bestFit="1" customWidth="1"/>
    <col min="13" max="13" width="9.7109375" bestFit="1" customWidth="1"/>
    <col min="14" max="14" width="10.5703125" bestFit="1" customWidth="1"/>
  </cols>
  <sheetData>
    <row r="2" spans="2:14" s="1" customFormat="1" x14ac:dyDescent="0.25">
      <c r="B2" s="1" t="s">
        <v>20</v>
      </c>
      <c r="C2" s="1" t="s">
        <v>19</v>
      </c>
      <c r="D2" s="1" t="s">
        <v>21</v>
      </c>
      <c r="E2" s="1" t="s">
        <v>3</v>
      </c>
      <c r="F2" s="1" t="s">
        <v>17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55</v>
      </c>
      <c r="L2" s="1" t="s">
        <v>8</v>
      </c>
      <c r="M2" s="1" t="s">
        <v>9</v>
      </c>
      <c r="N2" s="1" t="s">
        <v>10</v>
      </c>
    </row>
    <row r="3" spans="2:14" x14ac:dyDescent="0.25">
      <c r="B3">
        <v>1</v>
      </c>
      <c r="C3" t="s">
        <v>50</v>
      </c>
      <c r="D3">
        <v>400</v>
      </c>
      <c r="E3" t="s">
        <v>99</v>
      </c>
      <c r="F3" t="s">
        <v>18</v>
      </c>
      <c r="G3" t="s">
        <v>72</v>
      </c>
      <c r="H3" t="s">
        <v>54</v>
      </c>
      <c r="I3" t="s">
        <v>98</v>
      </c>
    </row>
    <row r="4" spans="2:14" x14ac:dyDescent="0.25">
      <c r="B4">
        <v>2</v>
      </c>
      <c r="C4" t="s">
        <v>53</v>
      </c>
      <c r="D4">
        <v>500</v>
      </c>
      <c r="E4" t="s">
        <v>90</v>
      </c>
      <c r="F4" t="s">
        <v>18</v>
      </c>
      <c r="G4" t="s">
        <v>72</v>
      </c>
      <c r="H4" t="s">
        <v>54</v>
      </c>
      <c r="I4" t="s">
        <v>98</v>
      </c>
      <c r="J4" t="s">
        <v>61</v>
      </c>
      <c r="K4" t="s">
        <v>79</v>
      </c>
      <c r="L4" t="s">
        <v>108</v>
      </c>
      <c r="M4" t="s">
        <v>77</v>
      </c>
      <c r="N4">
        <v>1</v>
      </c>
    </row>
    <row r="5" spans="2:14" x14ac:dyDescent="0.25">
      <c r="B5">
        <v>3</v>
      </c>
      <c r="C5" t="s">
        <v>53</v>
      </c>
      <c r="D5">
        <v>500</v>
      </c>
      <c r="E5" t="s">
        <v>91</v>
      </c>
      <c r="F5" t="s">
        <v>18</v>
      </c>
      <c r="G5" t="s">
        <v>81</v>
      </c>
      <c r="H5" t="s">
        <v>22</v>
      </c>
      <c r="I5" t="s">
        <v>49</v>
      </c>
    </row>
    <row r="6" spans="2:14" x14ac:dyDescent="0.25">
      <c r="B6">
        <v>4</v>
      </c>
      <c r="C6" t="s">
        <v>53</v>
      </c>
      <c r="D6">
        <v>500</v>
      </c>
      <c r="E6" t="s">
        <v>73</v>
      </c>
      <c r="F6" t="s">
        <v>18</v>
      </c>
      <c r="G6" t="s">
        <v>80</v>
      </c>
      <c r="H6" t="s">
        <v>22</v>
      </c>
    </row>
    <row r="7" spans="2:14" x14ac:dyDescent="0.25">
      <c r="B7">
        <v>5</v>
      </c>
      <c r="C7" t="s">
        <v>53</v>
      </c>
      <c r="D7">
        <v>500</v>
      </c>
      <c r="E7" t="s">
        <v>74</v>
      </c>
      <c r="F7" t="s">
        <v>18</v>
      </c>
      <c r="G7" t="s">
        <v>80</v>
      </c>
      <c r="H7" t="s">
        <v>100</v>
      </c>
      <c r="I7" t="s">
        <v>66</v>
      </c>
      <c r="J7" t="s">
        <v>61</v>
      </c>
      <c r="K7" t="s">
        <v>79</v>
      </c>
      <c r="L7" t="s">
        <v>78</v>
      </c>
    </row>
    <row r="8" spans="2:14" x14ac:dyDescent="0.25">
      <c r="B8">
        <v>6</v>
      </c>
      <c r="C8" t="s">
        <v>101</v>
      </c>
      <c r="D8">
        <v>400</v>
      </c>
      <c r="E8" t="s">
        <v>92</v>
      </c>
      <c r="F8" t="s">
        <v>18</v>
      </c>
      <c r="H8" t="s">
        <v>23</v>
      </c>
      <c r="I8" t="s">
        <v>66</v>
      </c>
      <c r="M8" t="s">
        <v>77</v>
      </c>
      <c r="N8">
        <v>2</v>
      </c>
    </row>
    <row r="9" spans="2:14" x14ac:dyDescent="0.25">
      <c r="B9">
        <v>7</v>
      </c>
      <c r="C9" t="s">
        <v>53</v>
      </c>
      <c r="D9">
        <v>500</v>
      </c>
      <c r="E9" t="s">
        <v>75</v>
      </c>
      <c r="F9" t="s">
        <v>18</v>
      </c>
      <c r="G9" t="s">
        <v>102</v>
      </c>
      <c r="H9" t="s">
        <v>103</v>
      </c>
      <c r="I9" t="s">
        <v>104</v>
      </c>
    </row>
    <row r="10" spans="2:14" x14ac:dyDescent="0.25">
      <c r="B10">
        <v>8</v>
      </c>
      <c r="C10" t="s">
        <v>53</v>
      </c>
      <c r="D10">
        <v>500</v>
      </c>
      <c r="E10" t="s">
        <v>76</v>
      </c>
      <c r="F10" t="s">
        <v>18</v>
      </c>
      <c r="G10" t="s">
        <v>80</v>
      </c>
      <c r="H10" t="s">
        <v>22</v>
      </c>
    </row>
    <row r="11" spans="2:14" x14ac:dyDescent="0.25">
      <c r="B11">
        <v>9</v>
      </c>
      <c r="C11" t="s">
        <v>53</v>
      </c>
      <c r="D11">
        <v>500</v>
      </c>
      <c r="E11" t="s">
        <v>11</v>
      </c>
      <c r="F11" t="s">
        <v>18</v>
      </c>
      <c r="G11" t="s">
        <v>80</v>
      </c>
      <c r="H11" t="s">
        <v>22</v>
      </c>
    </row>
    <row r="12" spans="2:14" x14ac:dyDescent="0.25">
      <c r="B12">
        <v>10</v>
      </c>
      <c r="C12" t="s">
        <v>53</v>
      </c>
      <c r="D12">
        <v>500</v>
      </c>
      <c r="E12" t="s">
        <v>12</v>
      </c>
      <c r="F12" t="s">
        <v>18</v>
      </c>
      <c r="G12" t="s">
        <v>80</v>
      </c>
      <c r="H12" t="s">
        <v>22</v>
      </c>
    </row>
    <row r="13" spans="2:14" x14ac:dyDescent="0.25">
      <c r="B13">
        <v>11</v>
      </c>
      <c r="C13" t="s">
        <v>53</v>
      </c>
      <c r="D13">
        <v>500</v>
      </c>
      <c r="E13" t="s">
        <v>13</v>
      </c>
      <c r="F13" t="s">
        <v>18</v>
      </c>
      <c r="G13" t="s">
        <v>80</v>
      </c>
      <c r="H13" t="s">
        <v>22</v>
      </c>
    </row>
    <row r="14" spans="2:14" x14ac:dyDescent="0.25">
      <c r="B14">
        <v>12</v>
      </c>
      <c r="C14" t="s">
        <v>53</v>
      </c>
      <c r="D14">
        <v>500</v>
      </c>
      <c r="E14" t="s">
        <v>93</v>
      </c>
      <c r="F14" t="s">
        <v>18</v>
      </c>
      <c r="G14" t="s">
        <v>80</v>
      </c>
      <c r="H14" t="s">
        <v>22</v>
      </c>
    </row>
    <row r="15" spans="2:14" x14ac:dyDescent="0.25">
      <c r="B15">
        <v>13</v>
      </c>
      <c r="C15" t="s">
        <v>53</v>
      </c>
      <c r="D15">
        <v>500</v>
      </c>
      <c r="E15" t="s">
        <v>94</v>
      </c>
      <c r="F15" t="s">
        <v>18</v>
      </c>
      <c r="G15" t="s">
        <v>80</v>
      </c>
      <c r="H15" t="s">
        <v>22</v>
      </c>
    </row>
    <row r="16" spans="2:14" x14ac:dyDescent="0.25">
      <c r="B16">
        <v>14</v>
      </c>
      <c r="C16" t="s">
        <v>53</v>
      </c>
      <c r="D16">
        <v>500</v>
      </c>
      <c r="E16" t="s">
        <v>95</v>
      </c>
      <c r="F16" t="s">
        <v>18</v>
      </c>
      <c r="G16" t="s">
        <v>80</v>
      </c>
      <c r="H16" t="s">
        <v>22</v>
      </c>
    </row>
    <row r="17" spans="2:14" x14ac:dyDescent="0.25">
      <c r="B17">
        <v>15</v>
      </c>
      <c r="C17" t="s">
        <v>53</v>
      </c>
      <c r="D17">
        <v>500</v>
      </c>
      <c r="E17" t="s">
        <v>96</v>
      </c>
      <c r="F17" t="s">
        <v>18</v>
      </c>
      <c r="G17" t="s">
        <v>80</v>
      </c>
      <c r="H17" t="s">
        <v>22</v>
      </c>
    </row>
    <row r="18" spans="2:14" x14ac:dyDescent="0.25">
      <c r="B18">
        <v>16</v>
      </c>
      <c r="C18" t="s">
        <v>53</v>
      </c>
      <c r="D18">
        <v>500</v>
      </c>
      <c r="E18" t="s">
        <v>97</v>
      </c>
      <c r="F18" t="s">
        <v>18</v>
      </c>
      <c r="G18" t="s">
        <v>105</v>
      </c>
      <c r="H18" t="s">
        <v>23</v>
      </c>
      <c r="I18" t="s">
        <v>49</v>
      </c>
      <c r="J18" t="s">
        <v>61</v>
      </c>
      <c r="K18" t="s">
        <v>79</v>
      </c>
      <c r="L18" t="s">
        <v>78</v>
      </c>
      <c r="M18" t="s">
        <v>77</v>
      </c>
      <c r="N18">
        <v>1</v>
      </c>
    </row>
    <row r="22" spans="2:14" x14ac:dyDescent="0.25">
      <c r="D22" s="29" t="s">
        <v>25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2:14" s="1" customFormat="1" x14ac:dyDescent="0.25">
      <c r="D23" s="28" t="s">
        <v>26</v>
      </c>
      <c r="E23" s="28"/>
      <c r="F23" s="28"/>
      <c r="G23" s="2" t="s">
        <v>29</v>
      </c>
      <c r="H23" s="2" t="s">
        <v>30</v>
      </c>
      <c r="I23" s="3" t="s">
        <v>15</v>
      </c>
      <c r="J23" s="2"/>
      <c r="K23" s="14"/>
      <c r="L23" s="2"/>
      <c r="M23" s="2"/>
      <c r="N23" s="2"/>
    </row>
    <row r="24" spans="2:14" x14ac:dyDescent="0.25">
      <c r="D24" s="29" t="s">
        <v>27</v>
      </c>
      <c r="E24" s="29"/>
      <c r="F24" s="29"/>
      <c r="G24">
        <f>+COUNTIF(D3:D18,"500")</f>
        <v>14</v>
      </c>
      <c r="I24" s="3">
        <f t="shared" ref="I24:I25" si="0">SUM(G24:H24)</f>
        <v>14</v>
      </c>
      <c r="K24" t="s">
        <v>62</v>
      </c>
      <c r="L24">
        <f>+I24+I25+I39+I36+I37</f>
        <v>27</v>
      </c>
    </row>
    <row r="25" spans="2:14" x14ac:dyDescent="0.25">
      <c r="D25" s="29" t="s">
        <v>28</v>
      </c>
      <c r="E25" s="29"/>
      <c r="F25" s="29"/>
      <c r="G25">
        <f>+COUNTIF(C3:C18,"10m")</f>
        <v>1</v>
      </c>
      <c r="I25" s="3">
        <f t="shared" si="0"/>
        <v>1</v>
      </c>
      <c r="K25" t="s">
        <v>63</v>
      </c>
      <c r="L25">
        <f>+I42</f>
        <v>3</v>
      </c>
    </row>
    <row r="26" spans="2:14" x14ac:dyDescent="0.25">
      <c r="D26" s="29" t="s">
        <v>72</v>
      </c>
      <c r="E26" s="29"/>
      <c r="F26" s="29"/>
      <c r="G26">
        <f>+COUNTIF($G$3:$G$18,"1CDT")</f>
        <v>2</v>
      </c>
      <c r="I26" s="3">
        <f>SUM(G26:H26)</f>
        <v>2</v>
      </c>
    </row>
    <row r="27" spans="2:14" x14ac:dyDescent="0.25">
      <c r="D27" s="29" t="s">
        <v>80</v>
      </c>
      <c r="E27" s="29"/>
      <c r="F27" s="29"/>
      <c r="G27">
        <f>+COUNTIF($G$3:$G$18,"1CPT")</f>
        <v>10</v>
      </c>
      <c r="I27" s="3">
        <f t="shared" ref="I27:I39" si="1">SUM(G27:H27)</f>
        <v>10</v>
      </c>
    </row>
    <row r="28" spans="2:14" x14ac:dyDescent="0.25">
      <c r="D28" s="29" t="s">
        <v>81</v>
      </c>
      <c r="E28" s="29"/>
      <c r="F28" s="29"/>
      <c r="G28">
        <f>+COUNTIF($G$3:$G$18,"1CRT")</f>
        <v>1</v>
      </c>
      <c r="I28" s="3">
        <f t="shared" si="1"/>
        <v>1</v>
      </c>
    </row>
    <row r="29" spans="2:14" hidden="1" x14ac:dyDescent="0.25">
      <c r="D29" s="29" t="s">
        <v>102</v>
      </c>
      <c r="E29" s="29"/>
      <c r="F29" s="29"/>
      <c r="G29">
        <f>+COUNTIF($G$3:$G$18,"2(1CRT)")</f>
        <v>1</v>
      </c>
      <c r="I29" s="3"/>
    </row>
    <row r="30" spans="2:14" x14ac:dyDescent="0.25">
      <c r="D30" s="29" t="s">
        <v>105</v>
      </c>
      <c r="E30" s="29"/>
      <c r="F30" s="29"/>
      <c r="G30">
        <f>+COUNTIF($G$3:$G$18,"1CRT")</f>
        <v>1</v>
      </c>
      <c r="H30">
        <f>+G29*2</f>
        <v>2</v>
      </c>
      <c r="I30" s="3">
        <f>+G30+H30</f>
        <v>3</v>
      </c>
    </row>
    <row r="31" spans="2:14" x14ac:dyDescent="0.25">
      <c r="D31" s="29" t="s">
        <v>22</v>
      </c>
      <c r="E31" s="29"/>
      <c r="F31" s="29"/>
      <c r="G31">
        <f>+COUNTIF($H$3:$H$18,"1EP")</f>
        <v>10</v>
      </c>
      <c r="H31">
        <f>+G32*1</f>
        <v>1</v>
      </c>
      <c r="I31" s="3">
        <f t="shared" si="1"/>
        <v>11</v>
      </c>
    </row>
    <row r="32" spans="2:14" hidden="1" x14ac:dyDescent="0.25">
      <c r="D32" s="29" t="s">
        <v>100</v>
      </c>
      <c r="E32" s="29"/>
      <c r="F32" s="29"/>
      <c r="G32">
        <f>+COUNTIF($H$3:$H$18,"1EP+1ER")</f>
        <v>1</v>
      </c>
      <c r="I32" s="3"/>
    </row>
    <row r="33" spans="4:9" x14ac:dyDescent="0.25">
      <c r="D33" s="29" t="s">
        <v>23</v>
      </c>
      <c r="E33" s="29"/>
      <c r="F33" s="29"/>
      <c r="G33">
        <f>+COUNTIF($H$3:$H$18,"1ER")</f>
        <v>2</v>
      </c>
      <c r="H33">
        <f>+G34*2</f>
        <v>2</v>
      </c>
      <c r="I33" s="3">
        <f t="shared" si="1"/>
        <v>4</v>
      </c>
    </row>
    <row r="34" spans="4:9" hidden="1" x14ac:dyDescent="0.25">
      <c r="D34" s="29" t="s">
        <v>103</v>
      </c>
      <c r="E34" s="29"/>
      <c r="F34" s="29"/>
      <c r="G34">
        <f>+COUNTIF($H$3:$H$18,"2(1ER)")</f>
        <v>1</v>
      </c>
      <c r="I34" s="3"/>
    </row>
    <row r="35" spans="4:9" x14ac:dyDescent="0.25">
      <c r="D35" s="29" t="s">
        <v>54</v>
      </c>
      <c r="E35" s="29"/>
      <c r="F35" s="29"/>
      <c r="G35">
        <f>+COUNTIF($H$3:$H$18,"1ED")</f>
        <v>2</v>
      </c>
      <c r="I35" s="3">
        <f t="shared" si="1"/>
        <v>2</v>
      </c>
    </row>
    <row r="36" spans="4:9" x14ac:dyDescent="0.25">
      <c r="D36" s="29" t="s">
        <v>49</v>
      </c>
      <c r="E36" s="29"/>
      <c r="F36" s="29"/>
      <c r="G36">
        <f>+COUNTIF($I$3:$I$18,"TAT-0TS")</f>
        <v>2</v>
      </c>
      <c r="H36">
        <f>+G37*2+G38*3</f>
        <v>8</v>
      </c>
      <c r="I36" s="3">
        <f t="shared" si="1"/>
        <v>10</v>
      </c>
    </row>
    <row r="37" spans="4:9" hidden="1" x14ac:dyDescent="0.25">
      <c r="D37" s="29" t="s">
        <v>104</v>
      </c>
      <c r="E37" s="29"/>
      <c r="F37" s="29"/>
      <c r="G37">
        <f>+COUNTIF($I$3:$I$18,"2(TAT-0TS)")</f>
        <v>1</v>
      </c>
      <c r="I37" s="3"/>
    </row>
    <row r="38" spans="4:9" hidden="1" x14ac:dyDescent="0.25">
      <c r="D38" s="29" t="s">
        <v>106</v>
      </c>
      <c r="E38" s="29"/>
      <c r="F38" s="29"/>
      <c r="G38">
        <f>+COUNTIF($I$3:$I$11,"3(TAT-0TS)")</f>
        <v>2</v>
      </c>
      <c r="I38" s="3"/>
    </row>
    <row r="39" spans="4:9" x14ac:dyDescent="0.25">
      <c r="D39" s="29" t="s">
        <v>66</v>
      </c>
      <c r="E39" s="29"/>
      <c r="F39" s="29"/>
      <c r="G39">
        <f>+COUNTIF($I$3:$I$18,"TAD-0TS")</f>
        <v>2</v>
      </c>
      <c r="I39" s="3">
        <f t="shared" si="1"/>
        <v>2</v>
      </c>
    </row>
    <row r="40" spans="4:9" x14ac:dyDescent="0.25">
      <c r="D40" s="29" t="s">
        <v>107</v>
      </c>
      <c r="E40" s="29"/>
      <c r="F40" s="29"/>
      <c r="G40">
        <f>+COUNTIF($J$3:$J$18,"1 Secc")</f>
        <v>3</v>
      </c>
      <c r="I40" s="3">
        <f t="shared" ref="I40:I41" si="2">SUM(G40:H40)</f>
        <v>3</v>
      </c>
    </row>
    <row r="41" spans="4:9" x14ac:dyDescent="0.25">
      <c r="D41" s="29" t="s">
        <v>77</v>
      </c>
      <c r="E41" s="29"/>
      <c r="F41" s="29"/>
      <c r="G41">
        <f>+COUNTIF($M$3:$M$18,"90W")</f>
        <v>3</v>
      </c>
      <c r="I41" s="3">
        <f t="shared" si="2"/>
        <v>3</v>
      </c>
    </row>
    <row r="42" spans="4:9" x14ac:dyDescent="0.25">
      <c r="D42" s="29" t="s">
        <v>55</v>
      </c>
      <c r="E42" s="29"/>
      <c r="F42" s="29"/>
      <c r="G42">
        <f>+COUNTIF($K$3:$K$18,"1 Pararrayos")</f>
        <v>3</v>
      </c>
      <c r="I42" s="3">
        <f>+G42+H42</f>
        <v>3</v>
      </c>
    </row>
    <row r="43" spans="4:9" x14ac:dyDescent="0.25">
      <c r="D43" s="29" t="s">
        <v>82</v>
      </c>
      <c r="E43" s="29"/>
      <c r="F43" s="29"/>
      <c r="G43">
        <f>+COUNTIF($L$3:$L$18,"10 kVA")</f>
        <v>2</v>
      </c>
      <c r="I43" s="3">
        <f>+G43+H43</f>
        <v>2</v>
      </c>
    </row>
    <row r="44" spans="4:9" x14ac:dyDescent="0.25">
      <c r="D44" s="29" t="s">
        <v>86</v>
      </c>
      <c r="E44" s="29"/>
      <c r="F44" s="29"/>
      <c r="G44">
        <v>4</v>
      </c>
      <c r="I44" s="3">
        <f>+G44+H44</f>
        <v>4</v>
      </c>
    </row>
    <row r="45" spans="4:9" x14ac:dyDescent="0.25">
      <c r="D45" s="29"/>
      <c r="E45" s="29"/>
      <c r="F45" s="29"/>
    </row>
    <row r="46" spans="4:9" x14ac:dyDescent="0.25">
      <c r="D46" s="29"/>
      <c r="E46" s="29"/>
      <c r="F46" s="29"/>
    </row>
    <row r="47" spans="4:9" x14ac:dyDescent="0.25">
      <c r="D47" s="29"/>
      <c r="E47" s="29"/>
      <c r="F47" s="29"/>
    </row>
    <row r="48" spans="4:9" x14ac:dyDescent="0.25">
      <c r="D48" s="29"/>
      <c r="E48" s="29"/>
      <c r="F48" s="29"/>
    </row>
    <row r="49" spans="4:6" x14ac:dyDescent="0.25">
      <c r="D49" s="29"/>
      <c r="E49" s="29"/>
      <c r="F49" s="29"/>
    </row>
    <row r="50" spans="4:6" x14ac:dyDescent="0.25">
      <c r="D50" s="29"/>
      <c r="E50" s="29"/>
      <c r="F50" s="29"/>
    </row>
    <row r="51" spans="4:6" x14ac:dyDescent="0.25">
      <c r="D51" s="29"/>
      <c r="E51" s="29"/>
      <c r="F51" s="29"/>
    </row>
    <row r="52" spans="4:6" x14ac:dyDescent="0.25">
      <c r="D52" s="29"/>
      <c r="E52" s="29"/>
      <c r="F52" s="29"/>
    </row>
  </sheetData>
  <mergeCells count="31">
    <mergeCell ref="D26:F26"/>
    <mergeCell ref="D22:N22"/>
    <mergeCell ref="D24:F24"/>
    <mergeCell ref="D23:F23"/>
    <mergeCell ref="D25:F25"/>
    <mergeCell ref="D27:F27"/>
    <mergeCell ref="D28:F28"/>
    <mergeCell ref="D31:F31"/>
    <mergeCell ref="D33:F33"/>
    <mergeCell ref="D35:F35"/>
    <mergeCell ref="D29:F29"/>
    <mergeCell ref="D30:F30"/>
    <mergeCell ref="D32:F32"/>
    <mergeCell ref="D34:F34"/>
    <mergeCell ref="D52:F52"/>
    <mergeCell ref="D46:F46"/>
    <mergeCell ref="D47:F47"/>
    <mergeCell ref="D48:F48"/>
    <mergeCell ref="D49:F49"/>
    <mergeCell ref="D36:F36"/>
    <mergeCell ref="D37:F37"/>
    <mergeCell ref="D50:F50"/>
    <mergeCell ref="D51:F51"/>
    <mergeCell ref="D40:F40"/>
    <mergeCell ref="D39:F39"/>
    <mergeCell ref="D43:F43"/>
    <mergeCell ref="D44:F44"/>
    <mergeCell ref="D45:F45"/>
    <mergeCell ref="D41:F41"/>
    <mergeCell ref="D42:F42"/>
    <mergeCell ref="D38:F3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9"/>
  <sheetViews>
    <sheetView tabSelected="1" view="pageBreakPreview" zoomScaleNormal="60" zoomScaleSheetLayoutView="100" workbookViewId="0">
      <selection activeCell="C17" sqref="C17"/>
    </sheetView>
  </sheetViews>
  <sheetFormatPr baseColWidth="10" defaultRowHeight="15" x14ac:dyDescent="0.25"/>
  <cols>
    <col min="3" max="3" width="132.7109375" bestFit="1" customWidth="1"/>
    <col min="4" max="4" width="9.42578125" customWidth="1"/>
    <col min="5" max="5" width="9.5703125" customWidth="1"/>
    <col min="6" max="6" width="14.5703125" bestFit="1" customWidth="1"/>
    <col min="7" max="7" width="16" bestFit="1" customWidth="1"/>
    <col min="8" max="8" width="19.5703125" bestFit="1" customWidth="1"/>
    <col min="9" max="9" width="15.7109375" bestFit="1" customWidth="1"/>
  </cols>
  <sheetData>
    <row r="3" spans="2:13" x14ac:dyDescent="0.25">
      <c r="B3" s="28" t="s">
        <v>114</v>
      </c>
      <c r="C3" s="28"/>
      <c r="D3" s="28"/>
      <c r="E3" s="28"/>
      <c r="F3" s="28"/>
      <c r="G3" s="28"/>
      <c r="H3" s="28"/>
      <c r="I3" s="28"/>
      <c r="J3" s="5"/>
      <c r="K3" s="5"/>
      <c r="L3" s="5"/>
      <c r="M3" s="5"/>
    </row>
    <row r="4" spans="2:13" ht="15.75" x14ac:dyDescent="0.25">
      <c r="B4" s="26" t="s">
        <v>117</v>
      </c>
      <c r="E4" s="27">
        <f>+E6/2</f>
        <v>1637.5</v>
      </c>
    </row>
    <row r="5" spans="2:13" x14ac:dyDescent="0.25">
      <c r="B5" s="6" t="s">
        <v>33</v>
      </c>
      <c r="C5" s="6" t="s">
        <v>26</v>
      </c>
      <c r="D5" s="6" t="s">
        <v>38</v>
      </c>
      <c r="E5" s="6" t="s">
        <v>36</v>
      </c>
      <c r="F5" s="6" t="s">
        <v>39</v>
      </c>
      <c r="G5" s="6" t="s">
        <v>40</v>
      </c>
      <c r="H5" s="6" t="s">
        <v>34</v>
      </c>
      <c r="I5" s="6" t="s">
        <v>41</v>
      </c>
    </row>
    <row r="6" spans="2:13" x14ac:dyDescent="0.25">
      <c r="B6" s="7">
        <v>1</v>
      </c>
      <c r="C6" s="7" t="s">
        <v>35</v>
      </c>
      <c r="D6" s="7" t="s">
        <v>37</v>
      </c>
      <c r="E6" s="7">
        <f>+ROUNDUP(CONDUCTOR!E20,FALSE)</f>
        <v>3275</v>
      </c>
      <c r="F6" s="7">
        <v>0.85</v>
      </c>
      <c r="G6" s="8">
        <f>+E6*F6</f>
        <v>2783.75</v>
      </c>
      <c r="H6" s="7">
        <v>0.97</v>
      </c>
      <c r="I6" s="8">
        <f>+H6*E6</f>
        <v>3176.75</v>
      </c>
    </row>
    <row r="7" spans="2:13" s="12" customFormat="1" x14ac:dyDescent="0.25">
      <c r="B7" s="10">
        <v>2</v>
      </c>
      <c r="C7" s="10" t="s">
        <v>67</v>
      </c>
      <c r="D7" s="10" t="s">
        <v>37</v>
      </c>
      <c r="E7" s="10">
        <f>+ROUNDUP(CONDUCTOR!F20,FALSE)</f>
        <v>85</v>
      </c>
      <c r="F7" s="10">
        <v>4.38</v>
      </c>
      <c r="G7" s="11">
        <f t="shared" ref="G7:G33" si="0">+E7*F7</f>
        <v>372.3</v>
      </c>
      <c r="H7" s="10">
        <v>1.54</v>
      </c>
      <c r="I7" s="11">
        <f t="shared" ref="I7:I33" si="1">+H7*E7</f>
        <v>130.9</v>
      </c>
    </row>
    <row r="8" spans="2:13" x14ac:dyDescent="0.25">
      <c r="B8" s="7">
        <v>3</v>
      </c>
      <c r="C8" s="7" t="s">
        <v>60</v>
      </c>
      <c r="D8" s="7" t="s">
        <v>42</v>
      </c>
      <c r="E8" s="7">
        <f>+ESTRUCTURAS!I24</f>
        <v>14</v>
      </c>
      <c r="F8" s="7">
        <v>875.75</v>
      </c>
      <c r="G8" s="8">
        <f t="shared" si="0"/>
        <v>12260.5</v>
      </c>
      <c r="H8" s="7">
        <v>122.9</v>
      </c>
      <c r="I8" s="8">
        <f t="shared" si="1"/>
        <v>1720.6000000000001</v>
      </c>
    </row>
    <row r="9" spans="2:13" x14ac:dyDescent="0.25">
      <c r="B9" s="10">
        <v>4</v>
      </c>
      <c r="C9" s="7" t="s">
        <v>68</v>
      </c>
      <c r="D9" s="7" t="s">
        <v>42</v>
      </c>
      <c r="E9" s="7">
        <f>+ESTRUCTURAS!I25</f>
        <v>1</v>
      </c>
      <c r="F9" s="7">
        <v>740.15</v>
      </c>
      <c r="G9" s="8">
        <f t="shared" si="0"/>
        <v>740.15</v>
      </c>
      <c r="H9" s="7">
        <v>122.9</v>
      </c>
      <c r="I9" s="8">
        <f t="shared" si="1"/>
        <v>122.9</v>
      </c>
    </row>
    <row r="10" spans="2:13" s="12" customFormat="1" x14ac:dyDescent="0.25">
      <c r="B10" s="7">
        <v>5</v>
      </c>
      <c r="C10" s="10" t="s">
        <v>83</v>
      </c>
      <c r="D10" s="10" t="s">
        <v>42</v>
      </c>
      <c r="E10" s="10">
        <f>+ESTRUCTURAS!I26</f>
        <v>2</v>
      </c>
      <c r="F10" s="10">
        <v>116.95</v>
      </c>
      <c r="G10" s="11">
        <f t="shared" si="0"/>
        <v>233.9</v>
      </c>
      <c r="H10" s="10">
        <v>54.15</v>
      </c>
      <c r="I10" s="11">
        <f t="shared" si="1"/>
        <v>108.3</v>
      </c>
    </row>
    <row r="11" spans="2:13" x14ac:dyDescent="0.25">
      <c r="B11" s="10">
        <v>6</v>
      </c>
      <c r="C11" s="10" t="s">
        <v>84</v>
      </c>
      <c r="D11" s="7" t="s">
        <v>42</v>
      </c>
      <c r="E11" s="7">
        <f>+ESTRUCTURAS!I27</f>
        <v>10</v>
      </c>
      <c r="F11" s="7">
        <v>31.58</v>
      </c>
      <c r="G11" s="8">
        <f t="shared" si="0"/>
        <v>315.79999999999995</v>
      </c>
      <c r="H11" s="7">
        <v>21.66</v>
      </c>
      <c r="I11" s="8">
        <f t="shared" si="1"/>
        <v>216.6</v>
      </c>
    </row>
    <row r="12" spans="2:13" x14ac:dyDescent="0.25">
      <c r="B12" s="7">
        <v>7</v>
      </c>
      <c r="C12" s="10" t="s">
        <v>85</v>
      </c>
      <c r="D12" s="7" t="s">
        <v>42</v>
      </c>
      <c r="E12" s="7">
        <f>+ESTRUCTURAS!I28</f>
        <v>1</v>
      </c>
      <c r="F12" s="7">
        <v>41.12</v>
      </c>
      <c r="G12" s="8">
        <f t="shared" si="0"/>
        <v>41.12</v>
      </c>
      <c r="H12" s="7">
        <v>27.08</v>
      </c>
      <c r="I12" s="8">
        <f t="shared" si="1"/>
        <v>27.08</v>
      </c>
    </row>
    <row r="13" spans="2:13" x14ac:dyDescent="0.25">
      <c r="B13" s="7"/>
      <c r="C13" s="10" t="s">
        <v>109</v>
      </c>
      <c r="D13" s="7" t="s">
        <v>42</v>
      </c>
      <c r="E13" s="7">
        <f>+ESTRUCTURAS!I30</f>
        <v>3</v>
      </c>
      <c r="F13" s="7">
        <v>47.16</v>
      </c>
      <c r="G13" s="8">
        <f t="shared" ref="G13" si="2">+E13*F13</f>
        <v>141.47999999999999</v>
      </c>
      <c r="H13" s="7">
        <v>27.08</v>
      </c>
      <c r="I13" s="8">
        <f t="shared" ref="I13" si="3">+H13*E13</f>
        <v>81.239999999999995</v>
      </c>
    </row>
    <row r="14" spans="2:13" x14ac:dyDescent="0.25">
      <c r="B14" s="10">
        <v>8</v>
      </c>
      <c r="C14" s="10" t="s">
        <v>118</v>
      </c>
      <c r="D14" s="7" t="s">
        <v>42</v>
      </c>
      <c r="E14" s="7">
        <f>+ESTRUCTURAS!I31</f>
        <v>11</v>
      </c>
      <c r="F14" s="7">
        <v>20.059999999999999</v>
      </c>
      <c r="G14" s="8">
        <f t="shared" si="0"/>
        <v>220.66</v>
      </c>
      <c r="H14" s="7">
        <v>16.829999999999998</v>
      </c>
      <c r="I14" s="8">
        <f t="shared" si="1"/>
        <v>185.13</v>
      </c>
    </row>
    <row r="15" spans="2:13" x14ac:dyDescent="0.25">
      <c r="B15" s="7">
        <v>9</v>
      </c>
      <c r="C15" s="10" t="s">
        <v>122</v>
      </c>
      <c r="D15" s="7" t="s">
        <v>42</v>
      </c>
      <c r="E15" s="7">
        <f>+ESTRUCTURAS!I33</f>
        <v>4</v>
      </c>
      <c r="F15" s="7">
        <v>14.93</v>
      </c>
      <c r="G15" s="8">
        <f t="shared" si="0"/>
        <v>59.72</v>
      </c>
      <c r="H15" s="7">
        <v>21.04</v>
      </c>
      <c r="I15" s="8">
        <f t="shared" si="1"/>
        <v>84.16</v>
      </c>
    </row>
    <row r="16" spans="2:13" x14ac:dyDescent="0.25">
      <c r="B16" s="10">
        <v>10</v>
      </c>
      <c r="C16" s="10" t="s">
        <v>119</v>
      </c>
      <c r="D16" s="7" t="s">
        <v>42</v>
      </c>
      <c r="E16" s="7">
        <f>+ESTRUCTURAS!I35</f>
        <v>2</v>
      </c>
      <c r="F16" s="7">
        <v>27.55</v>
      </c>
      <c r="G16" s="8">
        <f t="shared" si="0"/>
        <v>55.1</v>
      </c>
      <c r="H16" s="7">
        <v>42.08</v>
      </c>
      <c r="I16" s="8">
        <f t="shared" si="1"/>
        <v>84.16</v>
      </c>
    </row>
    <row r="17" spans="2:9" s="19" customFormat="1" x14ac:dyDescent="0.25">
      <c r="B17" s="7">
        <v>11</v>
      </c>
      <c r="C17" s="17" t="s">
        <v>120</v>
      </c>
      <c r="D17" s="17" t="s">
        <v>42</v>
      </c>
      <c r="E17" s="7">
        <f>+ESTRUCTURAS!I36</f>
        <v>10</v>
      </c>
      <c r="F17" s="17">
        <v>69.489999999999995</v>
      </c>
      <c r="G17" s="18">
        <f t="shared" si="0"/>
        <v>694.9</v>
      </c>
      <c r="H17" s="17">
        <v>32.08</v>
      </c>
      <c r="I17" s="18">
        <f t="shared" si="1"/>
        <v>320.79999999999995</v>
      </c>
    </row>
    <row r="18" spans="2:9" s="19" customFormat="1" x14ac:dyDescent="0.25">
      <c r="B18" s="7">
        <v>13</v>
      </c>
      <c r="C18" s="17" t="s">
        <v>121</v>
      </c>
      <c r="D18" s="17" t="s">
        <v>42</v>
      </c>
      <c r="E18" s="7">
        <f>+ESTRUCTURAS!I39</f>
        <v>2</v>
      </c>
      <c r="F18" s="17">
        <v>60.61</v>
      </c>
      <c r="G18" s="18">
        <f t="shared" si="0"/>
        <v>121.22</v>
      </c>
      <c r="H18" s="17">
        <v>25.66</v>
      </c>
      <c r="I18" s="18">
        <f t="shared" si="1"/>
        <v>51.32</v>
      </c>
    </row>
    <row r="19" spans="2:9" s="19" customFormat="1" ht="15" customHeight="1" x14ac:dyDescent="0.25">
      <c r="B19" s="10">
        <v>14</v>
      </c>
      <c r="C19" s="17" t="s">
        <v>116</v>
      </c>
      <c r="D19" s="17" t="s">
        <v>42</v>
      </c>
      <c r="E19" s="17">
        <f>+ESTRUCTURAS!I40</f>
        <v>3</v>
      </c>
      <c r="F19" s="17">
        <v>201.07</v>
      </c>
      <c r="G19" s="18">
        <f t="shared" si="0"/>
        <v>603.21</v>
      </c>
      <c r="H19" s="17">
        <v>50.57</v>
      </c>
      <c r="I19" s="18">
        <f t="shared" si="1"/>
        <v>151.71</v>
      </c>
    </row>
    <row r="20" spans="2:9" s="19" customFormat="1" x14ac:dyDescent="0.25">
      <c r="B20" s="7">
        <v>15</v>
      </c>
      <c r="C20" s="17" t="s">
        <v>112</v>
      </c>
      <c r="D20" s="17" t="s">
        <v>42</v>
      </c>
      <c r="E20" s="17">
        <f>+ESTRUCTURAS!I41</f>
        <v>3</v>
      </c>
      <c r="F20" s="17">
        <v>453.5</v>
      </c>
      <c r="G20" s="18">
        <f t="shared" si="0"/>
        <v>1360.5</v>
      </c>
      <c r="H20" s="17">
        <v>39.15</v>
      </c>
      <c r="I20" s="18">
        <f t="shared" si="1"/>
        <v>117.44999999999999</v>
      </c>
    </row>
    <row r="21" spans="2:9" s="19" customFormat="1" x14ac:dyDescent="0.25">
      <c r="B21" s="10">
        <v>16</v>
      </c>
      <c r="C21" s="17" t="s">
        <v>43</v>
      </c>
      <c r="D21" s="17" t="s">
        <v>42</v>
      </c>
      <c r="E21" s="17">
        <f>+ESTRUCTURAS!I42</f>
        <v>3</v>
      </c>
      <c r="F21" s="17">
        <v>591.11</v>
      </c>
      <c r="G21" s="18">
        <f t="shared" si="0"/>
        <v>1773.33</v>
      </c>
      <c r="H21" s="17">
        <v>84.15</v>
      </c>
      <c r="I21" s="18">
        <f t="shared" si="1"/>
        <v>252.45000000000002</v>
      </c>
    </row>
    <row r="22" spans="2:9" s="19" customFormat="1" x14ac:dyDescent="0.25">
      <c r="B22" s="7">
        <v>17</v>
      </c>
      <c r="C22" s="17" t="s">
        <v>88</v>
      </c>
      <c r="D22" s="17" t="s">
        <v>42</v>
      </c>
      <c r="E22" s="17">
        <f>+ESTRUCTURAS!I43</f>
        <v>2</v>
      </c>
      <c r="F22" s="17">
        <v>1317.87</v>
      </c>
      <c r="G22" s="18">
        <f t="shared" si="0"/>
        <v>2635.74</v>
      </c>
      <c r="H22" s="17">
        <v>92.9</v>
      </c>
      <c r="I22" s="18">
        <f t="shared" si="1"/>
        <v>185.8</v>
      </c>
    </row>
    <row r="23" spans="2:9" s="19" customFormat="1" x14ac:dyDescent="0.25">
      <c r="B23" s="10">
        <v>18</v>
      </c>
      <c r="C23" s="20" t="s">
        <v>51</v>
      </c>
      <c r="D23" s="17" t="s">
        <v>42</v>
      </c>
      <c r="E23" s="17">
        <f>+ESTRUCTURAS!I44</f>
        <v>4</v>
      </c>
      <c r="F23" s="17">
        <v>126.52</v>
      </c>
      <c r="G23" s="18">
        <f t="shared" si="0"/>
        <v>506.08</v>
      </c>
      <c r="H23" s="17">
        <v>44.15</v>
      </c>
      <c r="I23" s="18">
        <f t="shared" si="1"/>
        <v>176.6</v>
      </c>
    </row>
    <row r="24" spans="2:9" s="19" customFormat="1" x14ac:dyDescent="0.25">
      <c r="B24" s="7">
        <v>19</v>
      </c>
      <c r="C24" s="20" t="s">
        <v>115</v>
      </c>
      <c r="D24" s="17" t="s">
        <v>42</v>
      </c>
      <c r="E24" s="17">
        <v>4</v>
      </c>
      <c r="F24" s="17">
        <v>49.2</v>
      </c>
      <c r="G24" s="18">
        <f t="shared" si="0"/>
        <v>196.8</v>
      </c>
      <c r="H24" s="17">
        <v>40.31</v>
      </c>
      <c r="I24" s="18">
        <f t="shared" si="1"/>
        <v>161.24</v>
      </c>
    </row>
    <row r="25" spans="2:9" s="19" customFormat="1" x14ac:dyDescent="0.25">
      <c r="B25" s="10">
        <v>20</v>
      </c>
      <c r="C25" s="17" t="s">
        <v>44</v>
      </c>
      <c r="D25" s="17" t="s">
        <v>42</v>
      </c>
      <c r="E25" s="17">
        <f>+ESTRUCTURAS!L24</f>
        <v>27</v>
      </c>
      <c r="F25" s="17"/>
      <c r="G25" s="18">
        <f t="shared" si="0"/>
        <v>0</v>
      </c>
      <c r="H25" s="17">
        <v>184.15</v>
      </c>
      <c r="I25" s="18">
        <f t="shared" si="1"/>
        <v>4972.05</v>
      </c>
    </row>
    <row r="26" spans="2:9" s="19" customFormat="1" x14ac:dyDescent="0.25">
      <c r="B26" s="7">
        <v>21</v>
      </c>
      <c r="C26" s="17" t="s">
        <v>45</v>
      </c>
      <c r="D26" s="17" t="s">
        <v>42</v>
      </c>
      <c r="E26" s="17">
        <f>+ESTRUCTURAS!L25</f>
        <v>3</v>
      </c>
      <c r="F26" s="17"/>
      <c r="G26" s="18">
        <f t="shared" si="0"/>
        <v>0</v>
      </c>
      <c r="H26" s="17">
        <v>192.9</v>
      </c>
      <c r="I26" s="18">
        <f t="shared" si="1"/>
        <v>578.70000000000005</v>
      </c>
    </row>
    <row r="27" spans="2:9" s="19" customFormat="1" x14ac:dyDescent="0.25">
      <c r="B27" s="10">
        <v>22</v>
      </c>
      <c r="C27" s="17" t="s">
        <v>87</v>
      </c>
      <c r="D27" s="17" t="s">
        <v>42</v>
      </c>
      <c r="E27" s="17">
        <f>+ESTRUCTURAS!I44</f>
        <v>4</v>
      </c>
      <c r="F27" s="17">
        <v>7.88</v>
      </c>
      <c r="G27" s="18">
        <f t="shared" si="0"/>
        <v>31.52</v>
      </c>
      <c r="H27" s="18">
        <v>7.45</v>
      </c>
      <c r="I27" s="18">
        <f t="shared" si="1"/>
        <v>29.8</v>
      </c>
    </row>
    <row r="28" spans="2:9" s="19" customFormat="1" x14ac:dyDescent="0.25">
      <c r="B28" s="10"/>
      <c r="C28" s="23" t="s">
        <v>111</v>
      </c>
      <c r="D28" s="17" t="s">
        <v>42</v>
      </c>
      <c r="E28" s="17">
        <v>1</v>
      </c>
      <c r="F28" s="17"/>
      <c r="G28" s="18">
        <v>0</v>
      </c>
      <c r="H28" s="18">
        <v>139.35</v>
      </c>
      <c r="I28" s="18">
        <v>418.04999999999995</v>
      </c>
    </row>
    <row r="29" spans="2:9" s="25" customFormat="1" x14ac:dyDescent="0.25">
      <c r="B29" s="23">
        <v>23</v>
      </c>
      <c r="C29" s="23" t="s">
        <v>71</v>
      </c>
      <c r="D29" s="23" t="s">
        <v>37</v>
      </c>
      <c r="E29" s="23">
        <v>143</v>
      </c>
      <c r="F29" s="23"/>
      <c r="G29" s="24">
        <f t="shared" si="0"/>
        <v>0</v>
      </c>
      <c r="H29" s="24">
        <v>0.82</v>
      </c>
      <c r="I29" s="24">
        <f t="shared" si="1"/>
        <v>117.25999999999999</v>
      </c>
    </row>
    <row r="30" spans="2:9" s="25" customFormat="1" x14ac:dyDescent="0.25">
      <c r="B30" s="23">
        <v>24</v>
      </c>
      <c r="C30" s="23" t="s">
        <v>52</v>
      </c>
      <c r="D30" s="23" t="s">
        <v>37</v>
      </c>
      <c r="E30" s="23">
        <v>410</v>
      </c>
      <c r="F30" s="23"/>
      <c r="G30" s="24">
        <f t="shared" si="0"/>
        <v>0</v>
      </c>
      <c r="H30" s="24">
        <v>0.64</v>
      </c>
      <c r="I30" s="24">
        <f t="shared" si="1"/>
        <v>262.39999999999998</v>
      </c>
    </row>
    <row r="31" spans="2:9" s="19" customFormat="1" x14ac:dyDescent="0.25">
      <c r="B31" s="17">
        <v>25</v>
      </c>
      <c r="C31" s="17" t="s">
        <v>64</v>
      </c>
      <c r="D31" s="17" t="s">
        <v>42</v>
      </c>
      <c r="E31" s="17">
        <v>1</v>
      </c>
      <c r="F31" s="17"/>
      <c r="G31" s="18">
        <f t="shared" si="0"/>
        <v>0</v>
      </c>
      <c r="H31" s="18">
        <v>112.9</v>
      </c>
      <c r="I31" s="18">
        <f t="shared" si="1"/>
        <v>112.9</v>
      </c>
    </row>
    <row r="32" spans="2:9" s="19" customFormat="1" x14ac:dyDescent="0.25">
      <c r="B32" s="17">
        <v>26</v>
      </c>
      <c r="C32" s="17" t="s">
        <v>110</v>
      </c>
      <c r="D32" s="17" t="s">
        <v>42</v>
      </c>
      <c r="E32" s="17">
        <v>2</v>
      </c>
      <c r="F32" s="17"/>
      <c r="G32" s="18">
        <f t="shared" si="0"/>
        <v>0</v>
      </c>
      <c r="H32" s="18">
        <v>62.9</v>
      </c>
      <c r="I32" s="18">
        <f t="shared" si="1"/>
        <v>125.8</v>
      </c>
    </row>
    <row r="33" spans="2:11" s="19" customFormat="1" x14ac:dyDescent="0.25">
      <c r="B33" s="17">
        <v>27</v>
      </c>
      <c r="C33" s="17" t="s">
        <v>69</v>
      </c>
      <c r="D33" s="17" t="s">
        <v>70</v>
      </c>
      <c r="E33" s="17">
        <v>0.3</v>
      </c>
      <c r="F33" s="17"/>
      <c r="G33" s="18">
        <f t="shared" si="0"/>
        <v>0</v>
      </c>
      <c r="H33" s="18">
        <v>496.6</v>
      </c>
      <c r="I33" s="18">
        <f t="shared" si="1"/>
        <v>148.97999999999999</v>
      </c>
    </row>
    <row r="34" spans="2:11" x14ac:dyDescent="0.25">
      <c r="G34">
        <v>1</v>
      </c>
      <c r="H34" s="13" t="s">
        <v>40</v>
      </c>
      <c r="I34" s="21">
        <f>SUM(G6:G33)</f>
        <v>25147.78</v>
      </c>
    </row>
    <row r="35" spans="2:11" x14ac:dyDescent="0.25">
      <c r="G35">
        <v>2</v>
      </c>
      <c r="H35" s="6" t="s">
        <v>46</v>
      </c>
      <c r="I35" s="9">
        <f>SUM(I6:I33)</f>
        <v>14121.129999999997</v>
      </c>
    </row>
    <row r="36" spans="2:11" x14ac:dyDescent="0.25">
      <c r="H36" s="6" t="s">
        <v>47</v>
      </c>
      <c r="I36" s="9">
        <f>+I34+I35</f>
        <v>39268.909999999996</v>
      </c>
      <c r="K36" s="4"/>
    </row>
    <row r="37" spans="2:11" x14ac:dyDescent="0.25">
      <c r="H37" s="6" t="s">
        <v>48</v>
      </c>
      <c r="I37" s="9">
        <f>+I36*0.12</f>
        <v>4712.2691999999997</v>
      </c>
    </row>
    <row r="38" spans="2:11" x14ac:dyDescent="0.25">
      <c r="H38" s="6" t="s">
        <v>24</v>
      </c>
      <c r="I38" s="9">
        <f>+I36+I37</f>
        <v>43981.179199999999</v>
      </c>
    </row>
    <row r="39" spans="2:11" x14ac:dyDescent="0.25">
      <c r="C39">
        <f>+SQRT(3)+13.8*10</f>
        <v>139.73205080756887</v>
      </c>
    </row>
  </sheetData>
  <mergeCells count="1">
    <mergeCell ref="B3:I3"/>
  </mergeCells>
  <pageMargins left="0.7" right="0.7" top="0.75" bottom="0.75" header="0.3" footer="0.3"/>
  <pageSetup scale="53" orientation="landscape" r:id="rId1"/>
  <colBreaks count="1" manualBreakCount="1">
    <brk id="10" max="1048575" man="1"/>
  </colBreaks>
  <ignoredErrors>
    <ignoredError sqref="I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CONDUCTOR</vt:lpstr>
      <vt:lpstr>ESTRUCTURAS</vt:lpstr>
      <vt:lpstr>MATERIALES</vt:lpstr>
      <vt:lpstr>MATERIALES!Área_de_impresión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GL. Lozano</dc:creator>
  <cp:lastModifiedBy>TOBIAS VERDUGO ISRAEL</cp:lastModifiedBy>
  <cp:lastPrinted>2019-05-21T15:12:25Z</cp:lastPrinted>
  <dcterms:created xsi:type="dcterms:W3CDTF">2019-02-08T18:18:07Z</dcterms:created>
  <dcterms:modified xsi:type="dcterms:W3CDTF">2019-05-23T16:07:29Z</dcterms:modified>
</cp:coreProperties>
</file>